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<sst xmlns="http://schemas.openxmlformats.org/spreadsheetml/2006/main" count="114" uniqueCount="60">
  <si>
    <t>2018 Federal tax params (joint)</t>
  </si>
  <si>
    <t>2018 Federal tax params (separate)</t>
  </si>
  <si>
    <r>
      <rPr>
        <color rgb="FFFF0000"/>
      </rPr>
      <t>2017</t>
    </r>
    <r>
      <t xml:space="preserve"> CA tax params (joint)</t>
    </r>
  </si>
  <si>
    <r>
      <rPr>
        <color rgb="FFFF0000"/>
      </rPr>
      <t>2017</t>
    </r>
    <r>
      <t xml:space="preserve"> CA tax params (separate)</t>
    </r>
  </si>
  <si>
    <t>From</t>
  </si>
  <si>
    <t>Rate</t>
  </si>
  <si>
    <t>Base</t>
  </si>
  <si>
    <t>STD deduction</t>
  </si>
  <si>
    <t>AMT Table</t>
  </si>
  <si>
    <t>Exemption Credit</t>
  </si>
  <si>
    <t>Ex Credit PhOut</t>
  </si>
  <si>
    <t>LTCG tax table</t>
  </si>
  <si>
    <t>AMT exemption</t>
  </si>
  <si>
    <t>Wage</t>
  </si>
  <si>
    <t>ODiv/Int/STCG</t>
  </si>
  <si>
    <t>QFD-Div/LTCG</t>
  </si>
  <si>
    <t>Other I/L</t>
  </si>
  <si>
    <t>Pretax Contrib</t>
  </si>
  <si>
    <t>AGI</t>
  </si>
  <si>
    <t>Item'd deduction</t>
  </si>
  <si>
    <t>Actual Deduction</t>
  </si>
  <si>
    <t>Taxable Income</t>
  </si>
  <si>
    <t>Marginal Rate</t>
  </si>
  <si>
    <t>Credit</t>
  </si>
  <si>
    <t>AMT income-exe</t>
  </si>
  <si>
    <t>AnlMedTax/NIIT</t>
  </si>
  <si>
    <t>LTCG M'nl Rate</t>
  </si>
  <si>
    <t>LTCG Tax</t>
  </si>
  <si>
    <t>CA Credit</t>
  </si>
  <si>
    <t>Alice</t>
  </si>
  <si>
    <t>Bob</t>
  </si>
  <si>
    <t>joint</t>
  </si>
  <si>
    <t>N/A</t>
  </si>
  <si>
    <t>Tax estimate</t>
  </si>
  <si>
    <t>Fed Tax joint</t>
  </si>
  <si>
    <t>Fed AMT joint</t>
  </si>
  <si>
    <t>Fed Tax separate</t>
  </si>
  <si>
    <t>Fed AMT separate</t>
  </si>
  <si>
    <t>CA adjustment</t>
  </si>
  <si>
    <t>CA Marginal Rate</t>
  </si>
  <si>
    <t>CA tax joint</t>
  </si>
  <si>
    <t>CA tax separate</t>
  </si>
  <si>
    <t>Fed effective rate</t>
  </si>
  <si>
    <t>CA effective rate</t>
  </si>
  <si>
    <t>Effective Rate</t>
  </si>
  <si>
    <t>Withholding estimate</t>
  </si>
  <si>
    <t>Remaining Pays</t>
  </si>
  <si>
    <t>2017 Tax</t>
  </si>
  <si>
    <t>Fed Needed</t>
  </si>
  <si>
    <t>Fed WH YTD</t>
  </si>
  <si>
    <t>Fed WH Base</t>
  </si>
  <si>
    <t>Fed WH added</t>
  </si>
  <si>
    <t>Fed WH est</t>
  </si>
  <si>
    <t>Fed WH to add</t>
  </si>
  <si>
    <t>CA Needed</t>
  </si>
  <si>
    <t>CA WH YTD</t>
  </si>
  <si>
    <t>CA WH Base</t>
  </si>
  <si>
    <t>CA WH added</t>
  </si>
  <si>
    <t>CA WH est</t>
  </si>
  <si>
    <t>CA WH to add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</si>
</sst>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3">
    <font>
      <sz val="10.0"/>
      <color rgb="FF000000"/>
      <name val="Arial"/>
    </font>
    <font/>
    <font>
      <name val="Arial"/>
    </font>
  </fonts>
  <fills count="4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</fills>
  <borders count="1">
    <border/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1" numFmtId="0" xfId="0" applyAlignment="1" applyFill="1" applyFont="1">
      <alignment readingOrder="0"/>
    </xf>
    <xf borderId="0" fillId="2" fontId="1" numFmtId="10" xfId="0" applyAlignment="1" applyFont="1" applyNumberFormat="1">
      <alignment readingOrder="0"/>
    </xf>
    <xf borderId="0" fillId="0" fontId="1" numFmtId="10" xfId="0" applyAlignment="1" applyFont="1" applyNumberFormat="1">
      <alignment readingOrder="0"/>
    </xf>
    <xf borderId="0" fillId="0" fontId="1" numFmtId="2" xfId="0" applyAlignment="1" applyFont="1" applyNumberFormat="1">
      <alignment readingOrder="0"/>
    </xf>
    <xf borderId="0" fillId="0" fontId="1" numFmtId="164" xfId="0" applyAlignment="1" applyFont="1" applyNumberFormat="1">
      <alignment readingOrder="0"/>
    </xf>
    <xf borderId="0" fillId="0" fontId="2" numFmtId="0" xfId="0" applyAlignment="1" applyFont="1">
      <alignment vertical="bottom"/>
    </xf>
    <xf borderId="0" fillId="2" fontId="2" numFmtId="0" xfId="0" applyAlignment="1" applyFont="1">
      <alignment horizontal="right" vertical="bottom"/>
    </xf>
    <xf borderId="0" fillId="0" fontId="1" numFmtId="1" xfId="0" applyAlignment="1" applyFont="1" applyNumberFormat="1">
      <alignment readingOrder="0"/>
    </xf>
    <xf borderId="0" fillId="0" fontId="2" numFmtId="0" xfId="0" applyAlignment="1" applyFont="1">
      <alignment vertical="bottom"/>
    </xf>
    <xf borderId="0" fillId="3" fontId="1" numFmtId="1" xfId="0" applyAlignment="1" applyFill="1" applyFont="1" applyNumberFormat="1">
      <alignment readingOrder="0"/>
    </xf>
    <xf borderId="0" fillId="3" fontId="1" numFmtId="1" xfId="0" applyFont="1" applyNumberFormat="1"/>
    <xf borderId="0" fillId="0" fontId="1" numFmtId="1" xfId="0" applyFont="1" applyNumberFormat="1"/>
    <xf borderId="0" fillId="3" fontId="1" numFmtId="0" xfId="0" applyAlignment="1" applyFont="1">
      <alignment readingOrder="0"/>
    </xf>
    <xf borderId="0" fillId="0" fontId="1" numFmtId="10" xfId="0" applyFont="1" applyNumberFormat="1"/>
    <xf borderId="0" fillId="0" fontId="2" numFmtId="10" xfId="0" applyAlignment="1" applyFont="1" applyNumberFormat="1">
      <alignment horizontal="right" vertical="bottom"/>
    </xf>
    <xf borderId="0" fillId="0" fontId="2" numFmtId="1" xfId="0" applyAlignment="1" applyFont="1" applyNumberFormat="1">
      <alignment horizontal="right" vertical="bottom"/>
    </xf>
    <xf borderId="0" fillId="0" fontId="2" numFmtId="3" xfId="0" applyAlignment="1" applyFont="1" applyNumberFormat="1">
      <alignment horizontal="right" vertical="bottom"/>
    </xf>
    <xf borderId="0" fillId="0" fontId="1" numFmtId="3" xfId="0" applyFont="1" applyNumberFormat="1"/>
    <xf borderId="0" fillId="0" fontId="2" numFmtId="0" xfId="0" applyAlignment="1" applyFont="1">
      <alignment readingOrder="0" vertical="bottom"/>
    </xf>
    <xf borderId="0" fillId="2" fontId="1" numFmtId="1" xfId="0" applyAlignment="1" applyFont="1" applyNumberFormat="1">
      <alignment readingOrder="0"/>
    </xf>
    <xf borderId="0" fillId="2" fontId="1" numFmtId="1" xfId="0" applyFont="1" applyNumberFormat="1"/>
  </cellXfs>
  <cellStyles count="1">
    <cellStyle xfId="0" name="Normal" builtinId="0"/>
  </cellStyles>
  <dxfs count="2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0" max="10" width="14.43"/>
  </cols>
  <sheetData>
    <row r="1">
      <c r="A1" s="1" t="s">
        <v>0</v>
      </c>
      <c r="E1" s="1" t="s">
        <v>1</v>
      </c>
      <c r="I1" s="1" t="s">
        <v>2</v>
      </c>
      <c r="M1" s="1" t="s">
        <v>3</v>
      </c>
      <c r="R1" s="1"/>
      <c r="S1" s="1"/>
    </row>
    <row r="2">
      <c r="A2" s="1" t="s">
        <v>4</v>
      </c>
      <c r="B2" s="1" t="s">
        <v>5</v>
      </c>
      <c r="C2" s="1" t="s">
        <v>6</v>
      </c>
      <c r="E2" s="1" t="s">
        <v>4</v>
      </c>
      <c r="F2" s="1" t="s">
        <v>5</v>
      </c>
      <c r="G2" s="1" t="s">
        <v>6</v>
      </c>
      <c r="I2" s="1" t="s">
        <v>4</v>
      </c>
      <c r="J2" s="1" t="s">
        <v>5</v>
      </c>
      <c r="K2" s="1" t="s">
        <v>6</v>
      </c>
      <c r="M2" s="1" t="s">
        <v>4</v>
      </c>
      <c r="N2" s="1" t="s">
        <v>5</v>
      </c>
      <c r="O2" s="1" t="s">
        <v>6</v>
      </c>
      <c r="R2" s="1"/>
      <c r="S2" s="1"/>
    </row>
    <row r="3">
      <c r="A3" s="2">
        <v>0.0</v>
      </c>
      <c r="B3" s="3">
        <v>0.1</v>
      </c>
      <c r="C3" s="1">
        <v>0.0</v>
      </c>
      <c r="E3" s="2">
        <v>0.0</v>
      </c>
      <c r="F3" s="3">
        <v>0.1</v>
      </c>
      <c r="G3" s="1">
        <v>0.0</v>
      </c>
      <c r="I3" s="2">
        <v>0.0</v>
      </c>
      <c r="J3" s="3">
        <v>0.01</v>
      </c>
      <c r="K3" s="1">
        <v>0.0</v>
      </c>
      <c r="L3" s="4"/>
      <c r="M3" s="2">
        <v>0.0</v>
      </c>
      <c r="N3" s="3">
        <v>0.01</v>
      </c>
      <c r="O3" s="5">
        <v>0.0</v>
      </c>
      <c r="P3" s="4"/>
      <c r="R3" s="1"/>
      <c r="S3" s="1"/>
    </row>
    <row r="4">
      <c r="A4" s="2">
        <v>19050.0</v>
      </c>
      <c r="B4" s="3">
        <v>0.12</v>
      </c>
      <c r="C4" s="1">
        <f t="shared" ref="C4:C9" si="1">C3+(A4-A3)*B3</f>
        <v>1905</v>
      </c>
      <c r="E4" s="2">
        <v>9525.0</v>
      </c>
      <c r="F4" s="3">
        <v>0.12</v>
      </c>
      <c r="G4" s="1">
        <f t="shared" ref="G4:G9" si="2">G3+(E4-E3)*F3</f>
        <v>952.5</v>
      </c>
      <c r="I4" s="2">
        <v>16446.0</v>
      </c>
      <c r="J4" s="3">
        <v>0.02</v>
      </c>
      <c r="K4" s="1">
        <f t="shared" ref="K4:K11" si="3">K3+(I4-I3)*J3</f>
        <v>164.46</v>
      </c>
      <c r="L4" s="4"/>
      <c r="M4" s="2">
        <v>8223.0</v>
      </c>
      <c r="N4" s="3">
        <v>0.02</v>
      </c>
      <c r="O4" s="5">
        <f t="shared" ref="O4:O11" si="4">O3+(M4-M3)*N3</f>
        <v>82.23</v>
      </c>
      <c r="P4" s="6"/>
      <c r="R4" s="1"/>
      <c r="S4" s="1"/>
    </row>
    <row r="5">
      <c r="A5" s="2">
        <v>77400.0</v>
      </c>
      <c r="B5" s="3">
        <v>0.22</v>
      </c>
      <c r="C5" s="1">
        <f t="shared" si="1"/>
        <v>8907</v>
      </c>
      <c r="E5" s="2">
        <v>38700.0</v>
      </c>
      <c r="F5" s="3">
        <v>0.22</v>
      </c>
      <c r="G5" s="1">
        <f t="shared" si="2"/>
        <v>4453.5</v>
      </c>
      <c r="I5" s="2">
        <v>38990.0</v>
      </c>
      <c r="J5" s="3">
        <v>0.04</v>
      </c>
      <c r="K5" s="5">
        <f t="shared" si="3"/>
        <v>615.34</v>
      </c>
      <c r="L5" s="4"/>
      <c r="M5" s="2">
        <v>19495.0</v>
      </c>
      <c r="N5" s="3">
        <v>0.04</v>
      </c>
      <c r="O5" s="5">
        <f t="shared" si="4"/>
        <v>307.67</v>
      </c>
      <c r="P5" s="6"/>
      <c r="R5" s="1"/>
      <c r="S5" s="1"/>
    </row>
    <row r="6">
      <c r="A6" s="2">
        <v>165000.0</v>
      </c>
      <c r="B6" s="3">
        <v>0.24</v>
      </c>
      <c r="C6" s="1">
        <f t="shared" si="1"/>
        <v>28179</v>
      </c>
      <c r="E6" s="2">
        <v>82500.0</v>
      </c>
      <c r="F6" s="3">
        <v>0.24</v>
      </c>
      <c r="G6" s="1">
        <f t="shared" si="2"/>
        <v>14089.5</v>
      </c>
      <c r="I6" s="2">
        <v>61538.0</v>
      </c>
      <c r="J6" s="3">
        <v>0.06</v>
      </c>
      <c r="K6" s="5">
        <f t="shared" si="3"/>
        <v>1517.26</v>
      </c>
      <c r="L6" s="4"/>
      <c r="M6" s="2">
        <v>30769.0</v>
      </c>
      <c r="N6" s="3">
        <v>0.06</v>
      </c>
      <c r="O6" s="5">
        <f t="shared" si="4"/>
        <v>758.63</v>
      </c>
      <c r="P6" s="6"/>
      <c r="R6" s="1"/>
      <c r="S6" s="1"/>
    </row>
    <row r="7">
      <c r="A7" s="2">
        <v>315000.0</v>
      </c>
      <c r="B7" s="3">
        <v>0.32</v>
      </c>
      <c r="C7" s="1">
        <f t="shared" si="1"/>
        <v>64179</v>
      </c>
      <c r="E7" s="2">
        <v>157500.0</v>
      </c>
      <c r="F7" s="3">
        <v>0.32</v>
      </c>
      <c r="G7" s="1">
        <f t="shared" si="2"/>
        <v>32089.5</v>
      </c>
      <c r="I7" s="2">
        <v>85422.0</v>
      </c>
      <c r="J7" s="3">
        <v>0.08</v>
      </c>
      <c r="K7" s="5">
        <f t="shared" si="3"/>
        <v>2950.3</v>
      </c>
      <c r="L7" s="4"/>
      <c r="M7" s="2">
        <v>42711.0</v>
      </c>
      <c r="N7" s="3">
        <v>0.08</v>
      </c>
      <c r="O7" s="5">
        <f t="shared" si="4"/>
        <v>1475.15</v>
      </c>
      <c r="P7" s="6"/>
      <c r="R7" s="1"/>
      <c r="S7" s="1"/>
    </row>
    <row r="8">
      <c r="A8" s="2">
        <v>400000.0</v>
      </c>
      <c r="B8" s="3">
        <v>0.35</v>
      </c>
      <c r="C8" s="1">
        <f t="shared" si="1"/>
        <v>91379</v>
      </c>
      <c r="E8" s="2">
        <v>200000.0</v>
      </c>
      <c r="F8" s="3">
        <v>0.35</v>
      </c>
      <c r="G8" s="1">
        <f t="shared" si="2"/>
        <v>45689.5</v>
      </c>
      <c r="I8" s="2">
        <v>107960.0</v>
      </c>
      <c r="J8" s="3">
        <v>0.093</v>
      </c>
      <c r="K8" s="5">
        <f t="shared" si="3"/>
        <v>4753.34</v>
      </c>
      <c r="L8" s="4"/>
      <c r="M8" s="2">
        <v>53980.0</v>
      </c>
      <c r="N8" s="3">
        <v>0.093</v>
      </c>
      <c r="O8" s="5">
        <f t="shared" si="4"/>
        <v>2376.67</v>
      </c>
      <c r="P8" s="6"/>
      <c r="R8" s="1"/>
      <c r="S8" s="1"/>
    </row>
    <row r="9">
      <c r="A9" s="2">
        <v>600000.0</v>
      </c>
      <c r="B9" s="3">
        <v>0.37</v>
      </c>
      <c r="C9" s="1">
        <f t="shared" si="1"/>
        <v>161379</v>
      </c>
      <c r="E9" s="2">
        <v>300000.0</v>
      </c>
      <c r="F9" s="3">
        <v>0.37</v>
      </c>
      <c r="G9" s="1">
        <f t="shared" si="2"/>
        <v>80689.5</v>
      </c>
      <c r="I9" s="2">
        <v>551476.0</v>
      </c>
      <c r="J9" s="3">
        <v>0.103</v>
      </c>
      <c r="K9" s="5">
        <f t="shared" si="3"/>
        <v>46000.328</v>
      </c>
      <c r="L9" s="4"/>
      <c r="M9" s="2">
        <v>275738.0</v>
      </c>
      <c r="N9" s="3">
        <v>0.103</v>
      </c>
      <c r="O9" s="5">
        <f t="shared" si="4"/>
        <v>23000.164</v>
      </c>
      <c r="P9" s="6"/>
      <c r="R9" s="1"/>
      <c r="S9" s="1"/>
    </row>
    <row r="10">
      <c r="I10" s="2">
        <v>661768.0</v>
      </c>
      <c r="J10" s="3">
        <v>0.113</v>
      </c>
      <c r="K10" s="5">
        <f t="shared" si="3"/>
        <v>57360.404</v>
      </c>
      <c r="L10" s="4"/>
      <c r="M10" s="2">
        <v>330884.0</v>
      </c>
      <c r="N10" s="3">
        <v>0.113</v>
      </c>
      <c r="O10" s="5">
        <f t="shared" si="4"/>
        <v>28680.202</v>
      </c>
      <c r="P10" s="6"/>
      <c r="R10" s="1"/>
      <c r="S10" s="1"/>
    </row>
    <row r="11">
      <c r="A11" s="1" t="s">
        <v>7</v>
      </c>
      <c r="B11" s="2">
        <v>24000.0</v>
      </c>
      <c r="E11" s="1" t="s">
        <v>7</v>
      </c>
      <c r="F11" s="2">
        <v>12000.0</v>
      </c>
      <c r="I11" s="2">
        <v>1102946.0</v>
      </c>
      <c r="J11" s="3">
        <v>0.123</v>
      </c>
      <c r="K11" s="5">
        <f t="shared" si="3"/>
        <v>107213.518</v>
      </c>
      <c r="L11" s="4"/>
      <c r="M11" s="2">
        <v>551473.0</v>
      </c>
      <c r="N11" s="3">
        <v>0.123</v>
      </c>
      <c r="O11" s="5">
        <f t="shared" si="4"/>
        <v>53606.759</v>
      </c>
      <c r="P11" s="6"/>
      <c r="R11" s="1"/>
      <c r="S11" s="1"/>
    </row>
    <row r="1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P12" s="1"/>
      <c r="Q12" s="1"/>
      <c r="R12" s="1"/>
      <c r="S12" s="1"/>
    </row>
    <row r="13">
      <c r="A13" s="1" t="s">
        <v>8</v>
      </c>
      <c r="B13" s="1"/>
      <c r="C13" s="1"/>
      <c r="D13" s="1"/>
      <c r="E13" s="1"/>
      <c r="F13" s="1"/>
      <c r="G13" s="1"/>
      <c r="H13" s="1"/>
      <c r="I13" s="1" t="s">
        <v>7</v>
      </c>
      <c r="J13" s="2">
        <v>8472.0</v>
      </c>
      <c r="K13" s="1"/>
      <c r="L13" s="1"/>
      <c r="M13" s="1" t="s">
        <v>7</v>
      </c>
      <c r="N13" s="2">
        <v>4236.0</v>
      </c>
      <c r="P13" s="1"/>
      <c r="Q13" s="1"/>
      <c r="R13" s="1"/>
      <c r="S13" s="1"/>
    </row>
    <row r="14">
      <c r="A14" s="1" t="s">
        <v>4</v>
      </c>
      <c r="B14" s="1" t="s">
        <v>5</v>
      </c>
      <c r="C14" s="1" t="s">
        <v>6</v>
      </c>
      <c r="D14" s="1"/>
      <c r="E14" s="1" t="s">
        <v>4</v>
      </c>
      <c r="F14" s="1" t="s">
        <v>5</v>
      </c>
      <c r="G14" s="1" t="s">
        <v>6</v>
      </c>
      <c r="H14" s="1"/>
      <c r="I14" s="1" t="s">
        <v>9</v>
      </c>
      <c r="J14" s="2">
        <v>228.0</v>
      </c>
      <c r="K14" s="1"/>
      <c r="L14" s="1"/>
      <c r="M14" s="1" t="s">
        <v>9</v>
      </c>
      <c r="N14" s="2">
        <v>114.0</v>
      </c>
      <c r="P14" s="1"/>
      <c r="Q14" s="1"/>
      <c r="R14" s="1"/>
      <c r="S14" s="1"/>
    </row>
    <row r="15">
      <c r="A15" s="2">
        <v>0.0</v>
      </c>
      <c r="B15" s="4">
        <v>0.26</v>
      </c>
      <c r="C15" s="1">
        <v>0.0</v>
      </c>
      <c r="D15" s="1"/>
      <c r="E15" s="2">
        <v>0.0</v>
      </c>
      <c r="F15" s="4">
        <v>0.26</v>
      </c>
      <c r="G15" s="1">
        <v>0.0</v>
      </c>
      <c r="H15" s="1"/>
      <c r="I15" s="7" t="s">
        <v>10</v>
      </c>
      <c r="J15" s="8">
        <v>374411.0</v>
      </c>
      <c r="K15" s="7"/>
      <c r="L15" s="7"/>
      <c r="M15" s="7" t="s">
        <v>10</v>
      </c>
      <c r="N15" s="8">
        <v>187203.0</v>
      </c>
      <c r="P15" s="1"/>
      <c r="Q15" s="1"/>
      <c r="R15" s="1"/>
      <c r="S15" s="1"/>
    </row>
    <row r="16">
      <c r="A16" s="2">
        <v>191100.0</v>
      </c>
      <c r="B16" s="4">
        <v>0.28</v>
      </c>
      <c r="C16" s="1">
        <f>C15+(A16-A15)*B15</f>
        <v>49686</v>
      </c>
      <c r="D16" s="1"/>
      <c r="E16" s="2">
        <v>95550.0</v>
      </c>
      <c r="F16" s="4">
        <v>0.28</v>
      </c>
      <c r="G16" s="1">
        <f>G15+(E16-E15)*F15</f>
        <v>24843</v>
      </c>
      <c r="H16" s="1"/>
      <c r="I16" s="1"/>
      <c r="J16" s="1"/>
      <c r="K16" s="1"/>
      <c r="L16" s="1"/>
      <c r="M16" s="1"/>
      <c r="N16" s="1"/>
      <c r="P16" s="1"/>
      <c r="Q16" s="1"/>
      <c r="R16" s="1"/>
      <c r="S16" s="1"/>
    </row>
    <row r="17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P17" s="1"/>
      <c r="Q17" s="1"/>
      <c r="R17" s="1"/>
      <c r="S17" s="1"/>
    </row>
    <row r="18">
      <c r="A18" s="1" t="s">
        <v>11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P18" s="1"/>
      <c r="Q18" s="1"/>
      <c r="R18" s="1"/>
      <c r="S18" s="1"/>
    </row>
    <row r="19">
      <c r="A19" s="1" t="s">
        <v>4</v>
      </c>
      <c r="B19" s="1" t="s">
        <v>5</v>
      </c>
      <c r="C19" s="1" t="s">
        <v>6</v>
      </c>
      <c r="D19" s="1"/>
      <c r="E19" s="1" t="s">
        <v>4</v>
      </c>
      <c r="F19" s="1" t="s">
        <v>5</v>
      </c>
      <c r="G19" s="1" t="s">
        <v>6</v>
      </c>
      <c r="H19" s="1"/>
      <c r="I19" s="1"/>
      <c r="J19" s="1"/>
      <c r="K19" s="1"/>
      <c r="L19" s="1"/>
      <c r="M19" s="1"/>
      <c r="N19" s="1"/>
      <c r="P19" s="1"/>
      <c r="Q19" s="1"/>
      <c r="R19" s="1"/>
      <c r="S19" s="1"/>
    </row>
    <row r="20">
      <c r="A20" s="2">
        <v>0.0</v>
      </c>
      <c r="B20" s="4">
        <v>0.0</v>
      </c>
      <c r="C20" s="1">
        <v>0.0</v>
      </c>
      <c r="D20" s="1"/>
      <c r="E20" s="2">
        <v>0.0</v>
      </c>
      <c r="F20" s="4">
        <v>0.0</v>
      </c>
      <c r="G20" s="9">
        <v>0.0</v>
      </c>
      <c r="H20" s="1"/>
      <c r="I20" s="1"/>
      <c r="J20" s="1"/>
      <c r="K20" s="1"/>
      <c r="L20" s="1"/>
      <c r="M20" s="1"/>
      <c r="N20" s="1"/>
      <c r="P20" s="1"/>
      <c r="Q20" s="1"/>
      <c r="R20" s="1"/>
      <c r="S20" s="1"/>
    </row>
    <row r="21">
      <c r="A21" s="2">
        <v>77200.0</v>
      </c>
      <c r="B21" s="4">
        <v>0.15</v>
      </c>
      <c r="C21" s="1">
        <f t="shared" ref="C21:C22" si="5">C20+(A21-A20)*B20</f>
        <v>0</v>
      </c>
      <c r="D21" s="1"/>
      <c r="E21" s="2">
        <v>38600.0</v>
      </c>
      <c r="F21" s="4">
        <v>0.15</v>
      </c>
      <c r="G21" s="9">
        <f t="shared" ref="G21:G22" si="6">G20+(E21-E20)*F20</f>
        <v>0</v>
      </c>
      <c r="H21" s="1"/>
      <c r="I21" s="1"/>
      <c r="J21" s="1"/>
      <c r="K21" s="1"/>
      <c r="L21" s="1"/>
      <c r="M21" s="1"/>
      <c r="N21" s="1"/>
      <c r="P21" s="1"/>
      <c r="Q21" s="1"/>
      <c r="R21" s="1"/>
      <c r="S21" s="1"/>
    </row>
    <row r="22">
      <c r="A22" s="2">
        <v>479000.0</v>
      </c>
      <c r="B22" s="4">
        <v>0.2</v>
      </c>
      <c r="C22" s="1">
        <f t="shared" si="5"/>
        <v>60270</v>
      </c>
      <c r="D22" s="1"/>
      <c r="E22" s="2">
        <v>239500.0</v>
      </c>
      <c r="F22" s="4">
        <v>0.2</v>
      </c>
      <c r="G22" s="9">
        <f t="shared" si="6"/>
        <v>30135</v>
      </c>
      <c r="H22" s="1"/>
      <c r="I22" s="1"/>
      <c r="J22" s="1"/>
      <c r="K22" s="1"/>
      <c r="L22" s="1"/>
      <c r="M22" s="1"/>
      <c r="N22" s="1"/>
      <c r="P22" s="1"/>
      <c r="Q22" s="1"/>
      <c r="R22" s="1"/>
      <c r="S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P23" s="1"/>
      <c r="Q23" s="1"/>
      <c r="R23" s="1"/>
      <c r="S23" s="1"/>
    </row>
    <row r="24">
      <c r="A24" s="1" t="s">
        <v>12</v>
      </c>
      <c r="B24" s="2">
        <v>109400.0</v>
      </c>
      <c r="C24" s="1"/>
      <c r="D24" s="1"/>
      <c r="E24" s="1" t="s">
        <v>12</v>
      </c>
      <c r="F24" s="2">
        <v>54700.0</v>
      </c>
      <c r="G24" s="1"/>
      <c r="H24" s="1"/>
      <c r="I24" s="1"/>
      <c r="J24" s="1"/>
      <c r="K24" s="1"/>
      <c r="L24" s="1"/>
      <c r="M24" s="1"/>
      <c r="N24" s="1"/>
      <c r="P24" s="1"/>
      <c r="Q24" s="1"/>
      <c r="R24" s="1"/>
      <c r="S24" s="1"/>
    </row>
    <row r="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P25" s="1"/>
      <c r="Q25" s="1"/>
      <c r="R25" s="1"/>
      <c r="S25" s="1"/>
    </row>
    <row r="26">
      <c r="B26" s="1" t="s">
        <v>13</v>
      </c>
      <c r="C26" s="1" t="s">
        <v>14</v>
      </c>
      <c r="D26" s="1" t="s">
        <v>15</v>
      </c>
      <c r="E26" s="1" t="s">
        <v>16</v>
      </c>
      <c r="F26" s="1" t="s">
        <v>17</v>
      </c>
      <c r="G26" s="1" t="s">
        <v>18</v>
      </c>
      <c r="H26" s="1" t="s">
        <v>19</v>
      </c>
      <c r="I26" s="1" t="s">
        <v>20</v>
      </c>
      <c r="J26" s="1" t="s">
        <v>21</v>
      </c>
      <c r="K26" s="1" t="s">
        <v>22</v>
      </c>
      <c r="L26" s="1" t="s">
        <v>23</v>
      </c>
      <c r="M26" s="1" t="s">
        <v>24</v>
      </c>
      <c r="N26" s="1" t="s">
        <v>25</v>
      </c>
      <c r="O26" s="7" t="s">
        <v>26</v>
      </c>
      <c r="P26" s="10" t="s">
        <v>27</v>
      </c>
      <c r="Q26" s="10" t="s">
        <v>28</v>
      </c>
    </row>
    <row r="27">
      <c r="A27" s="9" t="s">
        <v>29</v>
      </c>
      <c r="B27" s="11">
        <v>250000.0</v>
      </c>
      <c r="C27" s="11">
        <v>1000.0</v>
      </c>
      <c r="D27" s="11">
        <v>0.0</v>
      </c>
      <c r="E27" s="12"/>
      <c r="F27" s="11">
        <f>18500</f>
        <v>18500</v>
      </c>
      <c r="G27" s="13">
        <f t="shared" ref="G27:G28" si="7">SUM(B27:E27)-F27</f>
        <v>232500</v>
      </c>
      <c r="H27" s="14">
        <f t="shared" ref="H27:H28" si="8">MIN(5000,D44)</f>
        <v>5000</v>
      </c>
      <c r="I27" s="9">
        <f t="shared" ref="I27:I28" si="9">MAX($F$11,H27)</f>
        <v>12000</v>
      </c>
      <c r="J27" s="13">
        <f t="shared" ref="J27:J29" si="10">G27-I27-D27</f>
        <v>220500</v>
      </c>
      <c r="K27" s="15">
        <f t="shared" ref="K27:K28" si="11">VLOOKUP(J27-1,$E$3:$F$9,2,1)</f>
        <v>0.35</v>
      </c>
      <c r="L27" s="11">
        <v>0.0</v>
      </c>
      <c r="M27" s="13">
        <f t="shared" ref="M27:M28" si="12">MAX(0,$G27-$F$24)</f>
        <v>177800</v>
      </c>
      <c r="N27" s="9">
        <f t="shared" ref="N27:N28" si="13">MAX(0,($B27-125000)*0.009)+MAX(0,MIN($G27-125000,$C27+$D27))*0.038</f>
        <v>1163</v>
      </c>
      <c r="O27" s="16">
        <f t="shared" ref="O27:O28" si="14">VLOOKUP(G27-I27-1,$E$20:$F$22,2,1)</f>
        <v>0.15</v>
      </c>
      <c r="P27" s="17">
        <f t="shared" ref="P27:P28" si="15">VLOOKUP(G27-I27-1,$E$20:$G$22,3,1)+(G27-I27-VLOOKUP(G27-I27-1,$E$20:$E$23,1,1))*VLOOKUP(G27-I27-1,$E$20:$F$22,2,1)-(VLOOKUP(G27-I27-D27-1,$E$20:$G$22,3,1)+(G27-I27-D27-VLOOKUP(G27-I27-D27-1,$E$20:$E$23,1,1))*VLOOKUP(G27-I27-D27-1,$E$20:$F$22,2,1))</f>
        <v>0</v>
      </c>
      <c r="Q27" s="18">
        <f t="shared" ref="Q27:Q28" si="16">MAX(0,$N$14-(MAX(G27,$N$15)-$N$15)*6/1250)</f>
        <v>0</v>
      </c>
      <c r="R27" s="9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>
      <c r="A28" s="9" t="s">
        <v>30</v>
      </c>
      <c r="B28" s="11">
        <v>100000.0</v>
      </c>
      <c r="C28" s="11">
        <v>10000.0</v>
      </c>
      <c r="D28" s="11">
        <v>30000.0</v>
      </c>
      <c r="E28" s="12"/>
      <c r="F28" s="11">
        <f>18500+3450</f>
        <v>21950</v>
      </c>
      <c r="G28" s="13">
        <f t="shared" si="7"/>
        <v>118050</v>
      </c>
      <c r="H28" s="11">
        <f t="shared" si="8"/>
        <v>5000</v>
      </c>
      <c r="I28" s="9">
        <f t="shared" si="9"/>
        <v>12000</v>
      </c>
      <c r="J28" s="13">
        <f t="shared" si="10"/>
        <v>76050</v>
      </c>
      <c r="K28" s="15">
        <f t="shared" si="11"/>
        <v>0.22</v>
      </c>
      <c r="L28" s="11">
        <v>0.0</v>
      </c>
      <c r="M28" s="13">
        <f t="shared" si="12"/>
        <v>63350</v>
      </c>
      <c r="N28" s="9">
        <f t="shared" si="13"/>
        <v>0</v>
      </c>
      <c r="O28" s="16">
        <f t="shared" si="14"/>
        <v>0.15</v>
      </c>
      <c r="P28" s="17">
        <f t="shared" si="15"/>
        <v>4500</v>
      </c>
      <c r="Q28" s="18">
        <f t="shared" si="16"/>
        <v>114</v>
      </c>
      <c r="R28" s="9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</row>
    <row r="29">
      <c r="A29" s="9" t="s">
        <v>31</v>
      </c>
      <c r="B29" s="9" t="s">
        <v>32</v>
      </c>
      <c r="C29" s="13">
        <f t="shared" ref="C29:D29" si="17">C27+C28</f>
        <v>11000</v>
      </c>
      <c r="D29" s="13">
        <f t="shared" si="17"/>
        <v>30000</v>
      </c>
      <c r="E29" s="9" t="s">
        <v>32</v>
      </c>
      <c r="F29" s="9" t="s">
        <v>32</v>
      </c>
      <c r="G29" s="13">
        <f>SUM(G27:G28)</f>
        <v>350550</v>
      </c>
      <c r="H29" s="14">
        <f>MIN(10000,D46)</f>
        <v>10000</v>
      </c>
      <c r="I29" s="9">
        <f>MAX($B$11,H29)</f>
        <v>24000</v>
      </c>
      <c r="J29" s="13">
        <f t="shared" si="10"/>
        <v>296550</v>
      </c>
      <c r="K29" s="15">
        <f>VLOOKUP(J29-1,$A$3:E$9,2,1)</f>
        <v>0.24</v>
      </c>
      <c r="L29" s="11">
        <v>0.0</v>
      </c>
      <c r="M29" s="13">
        <f>MAX(0, $G29-$B$24)</f>
        <v>241150</v>
      </c>
      <c r="N29" s="9">
        <f>MAX(0,($B27+$B28-250000)*0.009)+MAX(0,MIN($C29+$D29,$G$29-250000))*0.038</f>
        <v>2458</v>
      </c>
      <c r="O29" s="16">
        <f>VLOOKUP(G29-I29-1,$A$20:$B$22,2,1)</f>
        <v>0.15</v>
      </c>
      <c r="P29" s="17">
        <f>VLOOKUP(G29-I29-1,$A$20:$C$22,3,1)+(G29-I29-VLOOKUP(G29-I29-1,$A$20:$A$23,1,1))*VLOOKUP(G29-I29-1,$A$20:$B$22,2,1)-(VLOOKUP(G29-I29-D29-1,$A$20:$C$22,3,1)+(G29-I29-D29-VLOOKUP(G29-I29-D29-1,$A$20:$A$23,1,1))*VLOOKUP(G29-I29-D29-1,$A$20:$B$22,2,1))</f>
        <v>4500</v>
      </c>
      <c r="Q29" s="19">
        <f>MAX(0,$J$14-(MAX(G29,$J$15)-$J$15)*6/2500)</f>
        <v>228</v>
      </c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</row>
    <row r="30">
      <c r="A30" s="1"/>
      <c r="E30" s="1"/>
      <c r="R30" s="13"/>
    </row>
    <row r="31">
      <c r="A31" s="9" t="s">
        <v>33</v>
      </c>
      <c r="B31" s="1"/>
      <c r="C31" s="1"/>
      <c r="D31" s="1"/>
      <c r="E31" s="1"/>
      <c r="G31" s="1"/>
      <c r="H31" s="1"/>
      <c r="I31" s="1"/>
      <c r="J31" s="1"/>
    </row>
    <row r="32">
      <c r="A32" s="9"/>
      <c r="B32" s="1" t="s">
        <v>34</v>
      </c>
      <c r="C32" s="1" t="s">
        <v>35</v>
      </c>
      <c r="D32" s="1" t="s">
        <v>36</v>
      </c>
      <c r="E32" s="1" t="s">
        <v>37</v>
      </c>
      <c r="G32" s="1" t="s">
        <v>38</v>
      </c>
      <c r="H32" s="1" t="s">
        <v>39</v>
      </c>
      <c r="I32" s="1" t="s">
        <v>40</v>
      </c>
      <c r="J32" s="1" t="s">
        <v>41</v>
      </c>
      <c r="L32" s="20" t="s">
        <v>42</v>
      </c>
      <c r="M32" s="1" t="s">
        <v>43</v>
      </c>
      <c r="N32" s="10" t="s">
        <v>44</v>
      </c>
    </row>
    <row r="33">
      <c r="A33" s="9" t="s">
        <v>29</v>
      </c>
      <c r="B33" s="9" t="s">
        <v>32</v>
      </c>
      <c r="C33" s="9" t="s">
        <v>32</v>
      </c>
      <c r="D33" s="17">
        <f t="shared" ref="D33:D34" si="18">VLOOKUP(G27-$F$11-D27-1,$E$3:$G$9,3,1)+(G27-VLOOKUP(G27-$F$11-D27-1,$E$3:$E$9,1,1)-$F$11-D27)*K27+N27+P27-L27</f>
        <v>54027.5</v>
      </c>
      <c r="E33" s="17">
        <f t="shared" ref="E33:E34" si="19">VLOOKUP(M27-D27-1,$E$15:$G$16,3,1)+(M27-VLOOKUP(M27-D27-1,$E$15:$E$16,1,1)-D27)*VLOOKUP(M27-D27-1,$E$15:$F$16,2,1)+N27+P27-L27</f>
        <v>49036</v>
      </c>
      <c r="G33" s="11"/>
      <c r="H33" s="15">
        <f t="shared" ref="H33:H34" si="20">VLOOKUP($G27+G33-$N$13-1,$M$3:$N$11,2,1)</f>
        <v>0.093</v>
      </c>
      <c r="I33" s="9" t="s">
        <v>32</v>
      </c>
      <c r="J33" s="17">
        <f t="shared" ref="J33:J34" si="21">VLOOKUP($G27+G33-$N$13-1,$M$3:$O$11,3,1)+($G27+G33-VLOOKUP($G27+G33-$N$13-1,$M$3:$M$11,1,1)-$N$13)*H33-Q27</f>
        <v>18585.082</v>
      </c>
      <c r="L33" s="4">
        <f t="shared" ref="L33:L34" si="22">MAX(D33,E33)/SUM($B27:$F27)</f>
        <v>0.2004730983</v>
      </c>
      <c r="M33" s="4">
        <f t="shared" ref="M33:M34" si="23">J33/SUM($B27:$F27)</f>
        <v>0.06896134323</v>
      </c>
      <c r="N33" s="16">
        <f t="shared" ref="N33:N35" si="24">L33+M33</f>
        <v>0.2694344416</v>
      </c>
      <c r="O33" s="13"/>
    </row>
    <row r="34">
      <c r="A34" s="9" t="s">
        <v>30</v>
      </c>
      <c r="B34" s="9" t="s">
        <v>32</v>
      </c>
      <c r="C34" s="9" t="s">
        <v>32</v>
      </c>
      <c r="D34" s="17">
        <f t="shared" si="18"/>
        <v>17170.5</v>
      </c>
      <c r="E34" s="17">
        <f t="shared" si="19"/>
        <v>13171</v>
      </c>
      <c r="F34" s="4"/>
      <c r="G34" s="11">
        <v>3450.0</v>
      </c>
      <c r="H34" s="15">
        <f t="shared" si="20"/>
        <v>0.093</v>
      </c>
      <c r="I34" s="9" t="s">
        <v>32</v>
      </c>
      <c r="J34" s="17">
        <f t="shared" si="21"/>
        <v>8148.082</v>
      </c>
      <c r="L34" s="4">
        <f t="shared" si="22"/>
        <v>0.106023464</v>
      </c>
      <c r="M34" s="4">
        <f t="shared" si="23"/>
        <v>0.05031233097</v>
      </c>
      <c r="N34" s="16">
        <f t="shared" si="24"/>
        <v>0.156335795</v>
      </c>
      <c r="O34" s="13"/>
      <c r="P34" s="4"/>
    </row>
    <row r="35">
      <c r="A35" s="9" t="s">
        <v>31</v>
      </c>
      <c r="B35" s="17">
        <f>VLOOKUP($G$29-$B$11-$D$29-1,$A$3:$C$9,3,1)+($G$29-$D$29-VLOOKUP($G$29-$B$11-$D$29-1,$A$3:$A$9,1,1)-$B$11)*$K$29+$N$29+$P$29-L29</f>
        <v>66709</v>
      </c>
      <c r="C35" s="17">
        <f>VLOOKUP($M$29-$D$29-1,$A$15:$C$16,3,1)+($M$29-VLOOKUP($M$29-$D$29-1,$A$15:$B$16,1,1)-$D$29)*VLOOKUP($M$29-$D$29-1,$A$15:$B$16,2,1)+$N$29+$P$29-L29</f>
        <v>62258</v>
      </c>
      <c r="D35" s="17">
        <f>MAX(D33,E33)+MAX(D34,E34)</f>
        <v>71198</v>
      </c>
      <c r="E35" s="9" t="s">
        <v>32</v>
      </c>
      <c r="F35" s="4"/>
      <c r="G35" s="13">
        <f>G33+G34</f>
        <v>3450</v>
      </c>
      <c r="H35" s="15">
        <f>VLOOKUP($G29+$B35-$J$13-1,$I$3:$J$11,2,1)</f>
        <v>0.093</v>
      </c>
      <c r="I35" s="13">
        <f>VLOOKUP($G29+G35-$J$13-1,$I$3:$K$11,3,1)+($G29+G35-VLOOKUP($G29+G35-$J$13-1,$I$3:$I$11,1,1)-$J$13)*H35-$Q$29</f>
        <v>26619.164</v>
      </c>
      <c r="J35" s="13">
        <f>J33+J34</f>
        <v>26733.164</v>
      </c>
      <c r="L35" s="15">
        <f>MIN(MAX(B35:C35),D35)/SUM($B27:$F28)</f>
        <v>0.1546158303</v>
      </c>
      <c r="M35" s="15">
        <f>MIN(I35,J35)/SUM($B27:$F28)</f>
        <v>0.06169698459</v>
      </c>
      <c r="N35" s="16">
        <f t="shared" si="24"/>
        <v>0.2163128149</v>
      </c>
      <c r="O35" s="13"/>
      <c r="P35" s="4"/>
    </row>
    <row r="36">
      <c r="B36" s="4"/>
      <c r="F36" s="4"/>
      <c r="J36" s="1"/>
      <c r="L36" s="4"/>
      <c r="M36" s="5"/>
      <c r="P36" s="4"/>
      <c r="R36" s="5"/>
    </row>
    <row r="37">
      <c r="A37" s="1" t="s">
        <v>45</v>
      </c>
    </row>
    <row r="38">
      <c r="B38" s="1" t="s">
        <v>46</v>
      </c>
      <c r="C38" s="1" t="s">
        <v>47</v>
      </c>
      <c r="D38" s="1" t="s">
        <v>48</v>
      </c>
      <c r="E38" s="1" t="s">
        <v>49</v>
      </c>
      <c r="F38" s="1" t="s">
        <v>50</v>
      </c>
      <c r="G38" s="1" t="s">
        <v>51</v>
      </c>
      <c r="H38" s="1" t="s">
        <v>52</v>
      </c>
      <c r="I38" s="1" t="s">
        <v>53</v>
      </c>
      <c r="J38" s="1"/>
    </row>
    <row r="39">
      <c r="A39" s="9" t="s">
        <v>29</v>
      </c>
      <c r="B39" s="11">
        <v>12.0</v>
      </c>
      <c r="C39" s="21"/>
      <c r="D39" s="13">
        <f t="shared" ref="D39:D40" si="25">MIN(C39,MIN(MAX(D33,E33)-1000,MAX(D33,E33)*0.9)*1.05)</f>
        <v>51055.9875</v>
      </c>
      <c r="E39" s="11">
        <v>20648.16</v>
      </c>
      <c r="F39" s="11">
        <v>1723.68</v>
      </c>
      <c r="G39" s="11">
        <v>0.0</v>
      </c>
      <c r="H39" s="13">
        <f t="shared" ref="H39:H40" si="26">E39+(F39+G39)*B39</f>
        <v>41332.32</v>
      </c>
      <c r="I39" s="13">
        <f t="shared" ref="I39:I40" si="27">MAX(0,(D39-H39)/B39)</f>
        <v>810.305625</v>
      </c>
      <c r="J39" s="13"/>
      <c r="K39" s="13"/>
      <c r="L39" s="9"/>
      <c r="M39" s="9"/>
      <c r="N39" s="13"/>
      <c r="O39" s="13"/>
    </row>
    <row r="40">
      <c r="A40" s="9" t="s">
        <v>30</v>
      </c>
      <c r="B40" s="11">
        <v>12.0</v>
      </c>
      <c r="C40" s="21"/>
      <c r="D40" s="13">
        <f t="shared" si="25"/>
        <v>16226.1225</v>
      </c>
      <c r="E40" s="11">
        <v>3867.6</v>
      </c>
      <c r="F40" s="11">
        <v>322.3</v>
      </c>
      <c r="G40" s="11">
        <v>0.0</v>
      </c>
      <c r="H40" s="13">
        <f t="shared" si="26"/>
        <v>7735.2</v>
      </c>
      <c r="I40" s="13">
        <f t="shared" si="27"/>
        <v>707.576875</v>
      </c>
      <c r="J40" s="13"/>
      <c r="K40" s="13"/>
      <c r="L40" s="13"/>
      <c r="M40" s="13"/>
      <c r="N40" s="13"/>
      <c r="O40" s="13"/>
    </row>
    <row r="41">
      <c r="A41" s="1" t="s">
        <v>31</v>
      </c>
      <c r="B41" s="9" t="s">
        <v>32</v>
      </c>
      <c r="C41" s="22">
        <f>63000*1.1</f>
        <v>69300</v>
      </c>
      <c r="D41" s="13">
        <f>MIN(C41, MIN(MAX(B35,C35)-1000,MAX(B35,C35)*0.9)*1.05)</f>
        <v>63040.005</v>
      </c>
      <c r="E41" s="9" t="s">
        <v>32</v>
      </c>
      <c r="F41" s="9" t="s">
        <v>32</v>
      </c>
      <c r="G41" s="9" t="s">
        <v>32</v>
      </c>
      <c r="H41" s="13">
        <f>H39+H40</f>
        <v>49067.52</v>
      </c>
      <c r="I41" s="13">
        <f>MAX(0,(D41-H41)/B39)</f>
        <v>1164.37375</v>
      </c>
      <c r="J41" s="13"/>
      <c r="K41" s="13"/>
      <c r="L41" s="13"/>
      <c r="M41" s="13"/>
      <c r="N41" s="13"/>
      <c r="O41" s="13"/>
    </row>
    <row r="43">
      <c r="B43" s="1" t="s">
        <v>46</v>
      </c>
      <c r="C43" s="1" t="s">
        <v>47</v>
      </c>
      <c r="D43" s="1" t="s">
        <v>54</v>
      </c>
      <c r="E43" s="1" t="s">
        <v>55</v>
      </c>
      <c r="F43" s="1" t="s">
        <v>56</v>
      </c>
      <c r="G43" s="1" t="s">
        <v>57</v>
      </c>
      <c r="H43" s="1" t="s">
        <v>58</v>
      </c>
      <c r="I43" s="1" t="s">
        <v>59</v>
      </c>
    </row>
    <row r="44">
      <c r="A44" s="9" t="s">
        <v>29</v>
      </c>
      <c r="B44" s="13">
        <f t="shared" ref="B44:B46" si="28">B39</f>
        <v>12</v>
      </c>
      <c r="C44" s="21"/>
      <c r="D44" s="13">
        <f t="shared" ref="D44:D46" si="29">MIN(C44,MIN(J33-500,J33*0.9)*1.05)</f>
        <v>17562.90249</v>
      </c>
      <c r="E44" s="11">
        <v>10245.2</v>
      </c>
      <c r="F44" s="11">
        <v>853.77</v>
      </c>
      <c r="G44" s="11">
        <v>0.0</v>
      </c>
      <c r="H44" s="13">
        <f t="shared" ref="H44:H45" si="30">E44+(F44+G44)*B44</f>
        <v>20490.44</v>
      </c>
      <c r="I44" s="13">
        <f t="shared" ref="I44:I45" si="31">MAX(0,(D44-H44)/B44)</f>
        <v>0</v>
      </c>
    </row>
    <row r="45">
      <c r="A45" s="9" t="s">
        <v>30</v>
      </c>
      <c r="B45" s="13">
        <f t="shared" si="28"/>
        <v>12</v>
      </c>
      <c r="C45" s="22"/>
      <c r="D45" s="13">
        <f t="shared" si="29"/>
        <v>7699.93749</v>
      </c>
      <c r="E45" s="11">
        <v>2714.77</v>
      </c>
      <c r="F45" s="11">
        <v>226.23</v>
      </c>
      <c r="G45" s="11">
        <v>0.0</v>
      </c>
      <c r="H45" s="13">
        <f t="shared" si="30"/>
        <v>5429.53</v>
      </c>
      <c r="I45" s="13">
        <f t="shared" si="31"/>
        <v>189.2006242</v>
      </c>
    </row>
    <row r="46">
      <c r="A46" s="1" t="s">
        <v>31</v>
      </c>
      <c r="B46" s="13" t="str">
        <f t="shared" si="28"/>
        <v>N/A</v>
      </c>
      <c r="C46" s="22">
        <f>25000*1.1</f>
        <v>27500</v>
      </c>
      <c r="D46" s="13">
        <f t="shared" si="29"/>
        <v>25262.83998</v>
      </c>
      <c r="E46" s="9" t="s">
        <v>32</v>
      </c>
      <c r="F46" s="9" t="s">
        <v>32</v>
      </c>
      <c r="G46" s="9" t="s">
        <v>32</v>
      </c>
      <c r="H46" s="13">
        <f>H44+H45</f>
        <v>25919.97</v>
      </c>
      <c r="I46" s="13">
        <f>MAX(0,(D46-H46)/B44)</f>
        <v>0</v>
      </c>
    </row>
    <row r="48">
      <c r="C48" s="9"/>
    </row>
  </sheetData>
  <conditionalFormatting sqref="G40:H40">
    <cfRule type="cellIs" dxfId="0" priority="1" operator="greaterThanOrEqual">
      <formula>"C33"</formula>
    </cfRule>
  </conditionalFormatting>
  <conditionalFormatting sqref="G39">
    <cfRule type="notContainsBlanks" dxfId="1" priority="2">
      <formula>LEN(TRIM(G39))&gt;0</formula>
    </cfRule>
  </conditionalFormatting>
  <drawing r:id="rId1"/>
</worksheet>
</file>